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320" windowHeight="11700"/>
  </bookViews>
  <sheets>
    <sheet name="full07-full12" sheetId="8" r:id="rId1"/>
  </sheets>
  <externalReferences>
    <externalReference r:id="rId2"/>
    <externalReference r:id="rId3"/>
    <externalReference r:id="rId4"/>
  </externalReferences>
  <definedNames>
    <definedName name="\f" localSheetId="0">[1]cy!#REF!</definedName>
    <definedName name="\f">[1]cy!#REF!</definedName>
    <definedName name="\t" localSheetId="0">[1]cy!#REF!</definedName>
    <definedName name="\t">[1]cy!#REF!</definedName>
    <definedName name="____________ENR2" localSheetId="0">#REF!</definedName>
    <definedName name="____________ENR2">#REF!</definedName>
    <definedName name="___________ENR2" localSheetId="0">#REF!</definedName>
    <definedName name="___________ENR2">#REF!</definedName>
    <definedName name="__________ENR2" localSheetId="0">#REF!</definedName>
    <definedName name="__________ENR2">#REF!</definedName>
    <definedName name="_________ENR2" localSheetId="0">#REF!</definedName>
    <definedName name="_________ENR2">#REF!</definedName>
    <definedName name="________ENR2" localSheetId="0">#REF!</definedName>
    <definedName name="________ENR2">#REF!</definedName>
    <definedName name="_______ENR2" localSheetId="0">#REF!</definedName>
    <definedName name="_______ENR2">#REF!</definedName>
    <definedName name="______ENR2" localSheetId="0">#REF!</definedName>
    <definedName name="______ENR2">#REF!</definedName>
    <definedName name="_____ENR2" localSheetId="0">#REF!</definedName>
    <definedName name="_____ENR2">#REF!</definedName>
    <definedName name="____ENR2" localSheetId="0">#REF!</definedName>
    <definedName name="____ENR2">#REF!</definedName>
    <definedName name="___ENR2" localSheetId="0">#REF!</definedName>
    <definedName name="___ENR2">#REF!</definedName>
    <definedName name="__123Graph_AMAIN" localSheetId="0" hidden="1">[2]Enroll!#REF!</definedName>
    <definedName name="__123Graph_AMAIN" hidden="1">[2]Enroll!#REF!</definedName>
    <definedName name="__ENR2" localSheetId="0">#REF!</definedName>
    <definedName name="__ENR2">#REF!</definedName>
    <definedName name="_2010" localSheetId="0">#REF!</definedName>
    <definedName name="_2010">#REF!</definedName>
    <definedName name="_2012" localSheetId="0">#REF!</definedName>
    <definedName name="_2012">#REF!</definedName>
    <definedName name="_3_2012" localSheetId="0">#REF!</definedName>
    <definedName name="_3_2012">#REF!</definedName>
    <definedName name="_br89" localSheetId="0">#REF!</definedName>
    <definedName name="_br89">#REF!</definedName>
    <definedName name="_ENR2" localSheetId="0">#REF!</definedName>
    <definedName name="_ENR2">#REF!</definedName>
    <definedName name="C_" localSheetId="0">[2]Summary!#REF!</definedName>
    <definedName name="C_">[2]Summary!#REF!</definedName>
    <definedName name="CY" localSheetId="0">#REF!</definedName>
    <definedName name="CY">#REF!</definedName>
    <definedName name="DATA" localSheetId="0">#REF!</definedName>
    <definedName name="DATA">#REF!</definedName>
    <definedName name="_xlnm.Database" localSheetId="0">#REF!</definedName>
    <definedName name="_xlnm.Database">#REF!</definedName>
    <definedName name="Database2" localSheetId="0">#REF!</definedName>
    <definedName name="Database2">#REF!</definedName>
    <definedName name="ENR" localSheetId="0">#REF!</definedName>
    <definedName name="ENR">#REF!</definedName>
    <definedName name="Enroll_M" localSheetId="0">[3]Summary!#REF!</definedName>
    <definedName name="Enroll_M">[3]Summary!#REF!</definedName>
    <definedName name="FINAL" localSheetId="0">#REF!</definedName>
    <definedName name="FINAL">#REF!</definedName>
    <definedName name="FY" localSheetId="0">#REF!</definedName>
    <definedName name="FY">#REF!</definedName>
    <definedName name="IMPACT" localSheetId="0">#REF!</definedName>
    <definedName name="IMPACT">#REF!</definedName>
    <definedName name="LABEL" localSheetId="0">#REF!</definedName>
    <definedName name="LABEL">#REF!</definedName>
    <definedName name="LOAD" localSheetId="0">#REF!</definedName>
    <definedName name="LOAD">#REF!</definedName>
    <definedName name="MSR" localSheetId="0">[1]cy!#REF!</definedName>
    <definedName name="MSR">[1]cy!#REF!</definedName>
    <definedName name="NFY" localSheetId="0">#REF!</definedName>
    <definedName name="NFY">#REF!</definedName>
    <definedName name="PERCAPITA" localSheetId="0">#REF!</definedName>
    <definedName name="PERCAPITA">#REF!</definedName>
    <definedName name="POP" localSheetId="0">#REF!</definedName>
    <definedName name="POP">#REF!</definedName>
    <definedName name="_xlnm.Print_Area" localSheetId="0">'full07-full12'!$A$1:$L$37</definedName>
    <definedName name="ROGER" localSheetId="0">#REF!</definedName>
    <definedName name="ROGER">#REF!</definedName>
    <definedName name="ss" localSheetId="0">#REF!</definedName>
    <definedName name="ss">#REF!</definedName>
  </definedNames>
  <calcPr calcId="145621"/>
</workbook>
</file>

<file path=xl/calcChain.xml><?xml version="1.0" encoding="utf-8"?>
<calcChain xmlns="http://schemas.openxmlformats.org/spreadsheetml/2006/main">
  <c r="K24" i="8" l="1"/>
  <c r="C7" i="8" l="1"/>
  <c r="I23" i="8"/>
  <c r="J23" i="8" s="1"/>
  <c r="I22" i="8"/>
  <c r="J22" i="8" s="1"/>
  <c r="I21" i="8"/>
  <c r="J21" i="8" s="1"/>
  <c r="I20" i="8"/>
  <c r="J20" i="8" s="1"/>
  <c r="I19" i="8"/>
  <c r="J19" i="8" s="1"/>
  <c r="I18" i="8"/>
  <c r="J18" i="8" s="1"/>
  <c r="I17" i="8"/>
  <c r="J17" i="8" s="1"/>
  <c r="I16" i="8"/>
  <c r="J16" i="8" s="1"/>
  <c r="I15" i="8"/>
  <c r="J15" i="8" s="1"/>
  <c r="I14" i="8"/>
  <c r="J14" i="8" s="1"/>
  <c r="I13" i="8"/>
  <c r="J13" i="8" s="1"/>
  <c r="I12" i="8"/>
  <c r="J12" i="8" s="1"/>
  <c r="I11" i="8"/>
  <c r="J11" i="8" s="1"/>
  <c r="I10" i="8"/>
  <c r="J10" i="8" s="1"/>
  <c r="D10" i="8" l="1"/>
  <c r="F23" i="8"/>
  <c r="G23" i="8" s="1"/>
  <c r="C21" i="8"/>
  <c r="H21" i="8" l="1"/>
  <c r="C10" i="8"/>
  <c r="H10" i="8" s="1"/>
  <c r="D20" i="8" l="1"/>
  <c r="D19" i="8"/>
  <c r="D18" i="8"/>
  <c r="D17" i="8"/>
  <c r="D16" i="8"/>
  <c r="D15" i="8"/>
  <c r="D14" i="8"/>
  <c r="D13" i="8"/>
  <c r="D12" i="8"/>
  <c r="D11" i="8"/>
  <c r="C17" i="8"/>
  <c r="H17" i="8" s="1"/>
  <c r="F10" i="8" l="1"/>
  <c r="K23" i="8"/>
  <c r="F17" i="8"/>
  <c r="G17" i="8" s="1"/>
  <c r="C12" i="8"/>
  <c r="C16" i="8"/>
  <c r="C20" i="8"/>
  <c r="F21" i="8"/>
  <c r="C11" i="8"/>
  <c r="C15" i="8"/>
  <c r="C19" i="8"/>
  <c r="F22" i="8"/>
  <c r="C14" i="8"/>
  <c r="C18" i="8"/>
  <c r="C13" i="8"/>
  <c r="H13" i="8" s="1"/>
  <c r="G22" i="8" l="1"/>
  <c r="K22" i="8" s="1"/>
  <c r="K21" i="8"/>
  <c r="G21" i="8"/>
  <c r="G10" i="8"/>
  <c r="K10" i="8" s="1"/>
  <c r="K20" i="8"/>
  <c r="H20" i="8"/>
  <c r="H19" i="8"/>
  <c r="H15" i="8"/>
  <c r="H16" i="8"/>
  <c r="H18" i="8"/>
  <c r="H14" i="8"/>
  <c r="H11" i="8"/>
  <c r="H12" i="8"/>
  <c r="F20" i="8"/>
  <c r="G20" i="8" s="1"/>
  <c r="F14" i="8"/>
  <c r="G14" i="8" s="1"/>
  <c r="F15" i="8"/>
  <c r="G15" i="8" s="1"/>
  <c r="F16" i="8"/>
  <c r="G16" i="8" s="1"/>
  <c r="F11" i="8"/>
  <c r="G11" i="8" s="1"/>
  <c r="F13" i="8"/>
  <c r="G13" i="8" s="1"/>
  <c r="F12" i="8"/>
  <c r="G12" i="8" s="1"/>
  <c r="F18" i="8"/>
  <c r="G18" i="8" s="1"/>
  <c r="F19" i="8"/>
  <c r="G19" i="8" s="1"/>
  <c r="K17" i="8"/>
  <c r="K19" i="8" l="1"/>
  <c r="K18" i="8"/>
  <c r="K16" i="8"/>
  <c r="K15" i="8"/>
  <c r="H26" i="8" s="1"/>
  <c r="K14" i="8"/>
  <c r="J24" i="8"/>
  <c r="K12" i="8"/>
  <c r="G24" i="8"/>
  <c r="K13" i="8"/>
  <c r="K11" i="8"/>
  <c r="H27" i="8" l="1"/>
</calcChain>
</file>

<file path=xl/sharedStrings.xml><?xml version="1.0" encoding="utf-8"?>
<sst xmlns="http://schemas.openxmlformats.org/spreadsheetml/2006/main" count="42" uniqueCount="42">
  <si>
    <t xml:space="preserve">    Daptomycin</t>
  </si>
  <si>
    <t xml:space="preserve">    Vancomycin</t>
  </si>
  <si>
    <t xml:space="preserve">    Alteplase</t>
  </si>
  <si>
    <t xml:space="preserve">    Levocarnitine</t>
  </si>
  <si>
    <t xml:space="preserve">    Sodium ferric gluconate</t>
  </si>
  <si>
    <t xml:space="preserve">    Iron sucrose</t>
  </si>
  <si>
    <t xml:space="preserve">    Paricalcitol</t>
  </si>
  <si>
    <t xml:space="preserve">    Doxercalciferol</t>
  </si>
  <si>
    <t xml:space="preserve">    Calcitriol</t>
  </si>
  <si>
    <t xml:space="preserve">    Darbepoetin</t>
  </si>
  <si>
    <t xml:space="preserve">Part B &amp; D Drugs &amp; biologicals </t>
  </si>
  <si>
    <t>Treatments for patients with Part D spending</t>
  </si>
  <si>
    <t>Medicare dialysis treatments</t>
  </si>
  <si>
    <t>CY 2014 Prices based on Market Basket Update</t>
  </si>
  <si>
    <t>Change between 2007 and 2012</t>
  </si>
  <si>
    <t>2012 claims</t>
  </si>
  <si>
    <t>2007 claims</t>
  </si>
  <si>
    <t>Prices</t>
  </si>
  <si>
    <t>Account for 2% reduction, 1% outlier and 5.93% standardization</t>
  </si>
  <si>
    <t xml:space="preserve">    Total Drugs</t>
  </si>
  <si>
    <t xml:space="preserve">    Oral Equivalents</t>
  </si>
  <si>
    <t xml:space="preserve">    Other injectables</t>
  </si>
  <si>
    <t>CY 2011 prices (used to calculate  2011 Base Rate for the ESRD PPS Final Rule)</t>
  </si>
  <si>
    <t>Total Part B drug utilization, based on 2007 claims</t>
  </si>
  <si>
    <t>Total projected 2014 Spending, based on 2007 claims</t>
  </si>
  <si>
    <t>Total projected 2011 Spending, based on 2007 claims</t>
  </si>
  <si>
    <t>Average projected 2014 Spending per treatment, based on 2007 claims</t>
  </si>
  <si>
    <t>Total projected 2014 Spending, based on 2012 claims</t>
  </si>
  <si>
    <t>Average projected 2014 Spending per treatment, based on 2012 claims</t>
  </si>
  <si>
    <t>Change in projected Spending per treatment, from 2007 to 2012 claims</t>
  </si>
  <si>
    <t>Calculation of the Amount of the Per Treatment Reduction Using the End-Stage Renal Disease Bundled Market Basket</t>
  </si>
  <si>
    <r>
      <t>Total Part B reported drug utilization, based on 2012 claims</t>
    </r>
    <r>
      <rPr>
        <b/>
        <vertAlign val="superscript"/>
        <sz val="10"/>
        <rFont val="Calibri"/>
        <family val="2"/>
        <scheme val="minor"/>
      </rPr>
      <t>1</t>
    </r>
  </si>
  <si>
    <r>
      <t>Update from 2011 to 2014</t>
    </r>
    <r>
      <rPr>
        <vertAlign val="superscript"/>
        <sz val="10"/>
        <rFont val="Calibri"/>
        <family val="2"/>
        <scheme val="minor"/>
      </rPr>
      <t>2</t>
    </r>
  </si>
  <si>
    <r>
      <t xml:space="preserve">    EPO</t>
    </r>
    <r>
      <rPr>
        <vertAlign val="superscript"/>
        <sz val="10"/>
        <rFont val="Calibri"/>
        <family val="2"/>
        <scheme val="minor"/>
      </rPr>
      <t>3</t>
    </r>
  </si>
  <si>
    <r>
      <t xml:space="preserve">    Ferumoxytol</t>
    </r>
    <r>
      <rPr>
        <vertAlign val="superscript"/>
        <sz val="10"/>
        <rFont val="Calibri"/>
        <family val="2"/>
        <scheme val="minor"/>
      </rPr>
      <t>4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</si>
  <si>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For EPO the price and units are displayed as per thousands</t>
    </r>
  </si>
  <si>
    <t>Change in per treatment amount ($83.96 - $51.17 = $32.79)</t>
  </si>
  <si>
    <t>($32.79 x .98 x .99 x .9407 = $29.93)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</si>
  <si>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The latest available claims data for this final rule is based on the CY 2012 ESRD facility claims updated through June 31, 2013.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</si>
  <si>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CY 2011 prices for ESRD-related drugs and biologicals were inflated by using the ESRD bundled (ESRDB) market basket, productivity adjustment, the wage index budget neutrality adjustment factor, and the home dialysis training add-on budget neutrality adjustment factor finalized in CY's 2012, 2013, and 2014.</t>
    </r>
  </si>
  <si>
    <t xml:space="preserve">1.0764 = 1.021*1.00152*1.023*1.000613*1.028*1.000454 * 0.999912 </t>
  </si>
  <si>
    <r>
      <rPr>
        <vertAlign val="superscript"/>
        <sz val="10"/>
        <rFont val="Calibri"/>
        <family val="2"/>
        <scheme val="minor"/>
      </rPr>
      <t>4</t>
    </r>
    <r>
      <rPr>
        <sz val="10"/>
        <rFont val="Calibri"/>
        <family val="2"/>
        <scheme val="minor"/>
      </rPr>
      <t xml:space="preserve"> Ferumoxytol was assigned a HCPCS codes in 2010.  The CY 2014 price represents the average of the 2012 ASP+6% prices updated to 2014.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</si>
</sst>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0.0000"/>
    <numFmt numFmtId="167" formatCode="0.0000000"/>
    <numFmt numFmtId="168" formatCode="0.0%"/>
    <numFmt numFmtId="169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b/>
      <sz val="14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2"/>
      <color theme="1"/>
      <name val="Times New Roman"/>
      <family val="1"/>
    </font>
    <font>
      <b/>
      <i/>
      <sz val="1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3">
    <xf numFmtId="0" fontId="0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</cellStyleXfs>
  <cellXfs count="114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3" fillId="2" borderId="4" xfId="1" applyFont="1" applyFill="1" applyBorder="1"/>
    <xf numFmtId="0" fontId="3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/>
    <xf numFmtId="164" fontId="3" fillId="0" borderId="4" xfId="1" applyNumberFormat="1" applyFont="1" applyFill="1" applyBorder="1" applyAlignment="1">
      <alignment horizontal="center"/>
    </xf>
    <xf numFmtId="0" fontId="3" fillId="2" borderId="7" xfId="1" applyFont="1" applyFill="1" applyBorder="1"/>
    <xf numFmtId="0" fontId="3" fillId="0" borderId="0" xfId="1" applyFont="1" applyFill="1"/>
    <xf numFmtId="166" fontId="3" fillId="3" borderId="4" xfId="1" applyNumberFormat="1" applyFont="1" applyFill="1" applyBorder="1" applyAlignment="1">
      <alignment horizontal="center"/>
    </xf>
    <xf numFmtId="0" fontId="3" fillId="2" borderId="5" xfId="1" applyFont="1" applyFill="1" applyBorder="1"/>
    <xf numFmtId="0" fontId="3" fillId="0" borderId="4" xfId="1" quotePrefix="1" applyFont="1" applyFill="1" applyBorder="1" applyAlignment="1">
      <alignment horizontal="center"/>
    </xf>
    <xf numFmtId="0" fontId="3" fillId="2" borderId="8" xfId="1" applyFont="1" applyFill="1" applyBorder="1"/>
    <xf numFmtId="0" fontId="3" fillId="2" borderId="9" xfId="1" applyFont="1" applyFill="1" applyBorder="1"/>
    <xf numFmtId="0" fontId="3" fillId="2" borderId="10" xfId="1" applyFont="1" applyFill="1" applyBorder="1"/>
    <xf numFmtId="0" fontId="3" fillId="2" borderId="7" xfId="1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2" borderId="0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horizontal="center" wrapText="1"/>
    </xf>
    <xf numFmtId="0" fontId="3" fillId="2" borderId="11" xfId="1" applyFont="1" applyFill="1" applyBorder="1"/>
    <xf numFmtId="0" fontId="3" fillId="0" borderId="0" xfId="1" applyFont="1" applyBorder="1"/>
    <xf numFmtId="4" fontId="3" fillId="0" borderId="4" xfId="1" applyNumberFormat="1" applyFont="1" applyFill="1" applyBorder="1" applyAlignment="1">
      <alignment horizontal="center"/>
    </xf>
    <xf numFmtId="166" fontId="3" fillId="0" borderId="4" xfId="1" applyNumberFormat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11" xfId="1" quotePrefix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/>
    </xf>
    <xf numFmtId="0" fontId="4" fillId="0" borderId="15" xfId="1" applyFont="1" applyFill="1" applyBorder="1" applyAlignment="1">
      <alignment horizontal="center" wrapText="1"/>
    </xf>
    <xf numFmtId="0" fontId="4" fillId="2" borderId="15" xfId="1" applyFont="1" applyFill="1" applyBorder="1" applyAlignment="1">
      <alignment horizontal="center" wrapText="1"/>
    </xf>
    <xf numFmtId="3" fontId="3" fillId="2" borderId="0" xfId="1" applyNumberFormat="1" applyFont="1" applyFill="1"/>
    <xf numFmtId="4" fontId="3" fillId="2" borderId="0" xfId="1" applyNumberFormat="1" applyFont="1" applyFill="1"/>
    <xf numFmtId="3" fontId="3" fillId="0" borderId="13" xfId="1" applyNumberFormat="1" applyFont="1" applyFill="1" applyBorder="1" applyAlignment="1">
      <alignment horizontal="left"/>
    </xf>
    <xf numFmtId="0" fontId="3" fillId="0" borderId="13" xfId="1" quotePrefix="1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left"/>
    </xf>
    <xf numFmtId="44" fontId="3" fillId="2" borderId="0" xfId="30" applyFont="1" applyFill="1" applyBorder="1" applyAlignment="1">
      <alignment horizontal="left"/>
    </xf>
    <xf numFmtId="44" fontId="3" fillId="3" borderId="5" xfId="30" applyFont="1" applyFill="1" applyBorder="1" applyAlignment="1">
      <alignment horizontal="left" wrapText="1"/>
    </xf>
    <xf numFmtId="44" fontId="3" fillId="0" borderId="4" xfId="30" applyFont="1" applyFill="1" applyBorder="1" applyAlignment="1">
      <alignment horizontal="left" wrapText="1"/>
    </xf>
    <xf numFmtId="169" fontId="3" fillId="3" borderId="0" xfId="30" applyNumberFormat="1" applyFont="1" applyFill="1" applyBorder="1" applyAlignment="1">
      <alignment horizontal="left"/>
    </xf>
    <xf numFmtId="169" fontId="3" fillId="2" borderId="0" xfId="30" applyNumberFormat="1" applyFont="1" applyFill="1" applyBorder="1" applyAlignment="1">
      <alignment horizontal="left"/>
    </xf>
    <xf numFmtId="44" fontId="3" fillId="2" borderId="0" xfId="1" applyNumberFormat="1" applyFont="1" applyFill="1"/>
    <xf numFmtId="0" fontId="7" fillId="0" borderId="0" xfId="31"/>
    <xf numFmtId="0" fontId="3" fillId="2" borderId="18" xfId="1" applyFont="1" applyFill="1" applyBorder="1" applyAlignment="1"/>
    <xf numFmtId="0" fontId="3" fillId="2" borderId="19" xfId="1" applyFont="1" applyFill="1" applyBorder="1" applyAlignment="1"/>
    <xf numFmtId="0" fontId="3" fillId="2" borderId="20" xfId="1" applyFont="1" applyFill="1" applyBorder="1" applyAlignment="1">
      <alignment horizontal="left"/>
    </xf>
    <xf numFmtId="4" fontId="3" fillId="2" borderId="21" xfId="1" applyNumberFormat="1" applyFont="1" applyFill="1" applyBorder="1" applyAlignment="1">
      <alignment horizontal="center"/>
    </xf>
    <xf numFmtId="0" fontId="11" fillId="0" borderId="0" xfId="0" applyFont="1"/>
    <xf numFmtId="0" fontId="3" fillId="2" borderId="22" xfId="1" applyFont="1" applyFill="1" applyBorder="1" applyAlignment="1">
      <alignment wrapText="1"/>
    </xf>
    <xf numFmtId="0" fontId="3" fillId="2" borderId="23" xfId="1" applyFont="1" applyFill="1" applyBorder="1" applyAlignment="1">
      <alignment wrapText="1"/>
    </xf>
    <xf numFmtId="0" fontId="3" fillId="2" borderId="24" xfId="1" applyFont="1" applyFill="1" applyBorder="1" applyAlignment="1">
      <alignment wrapText="1"/>
    </xf>
    <xf numFmtId="3" fontId="3" fillId="0" borderId="25" xfId="1" applyNumberFormat="1" applyFont="1" applyFill="1" applyBorder="1" applyAlignment="1">
      <alignment horizontal="left"/>
    </xf>
    <xf numFmtId="3" fontId="3" fillId="2" borderId="25" xfId="1" applyNumberFormat="1" applyFont="1" applyFill="1" applyBorder="1" applyAlignment="1">
      <alignment horizontal="left"/>
    </xf>
    <xf numFmtId="0" fontId="3" fillId="2" borderId="24" xfId="1" applyFont="1" applyFill="1" applyBorder="1"/>
    <xf numFmtId="0" fontId="3" fillId="0" borderId="25" xfId="1" quotePrefix="1" applyFont="1" applyFill="1" applyBorder="1" applyAlignment="1">
      <alignment horizontal="left"/>
    </xf>
    <xf numFmtId="0" fontId="3" fillId="0" borderId="24" xfId="1" quotePrefix="1" applyFont="1" applyFill="1" applyBorder="1" applyAlignment="1">
      <alignment horizontal="center"/>
    </xf>
    <xf numFmtId="0" fontId="4" fillId="0" borderId="3" xfId="1" applyFont="1" applyFill="1" applyBorder="1" applyAlignment="1">
      <alignment horizontal="right" wrapText="1"/>
    </xf>
    <xf numFmtId="3" fontId="3" fillId="3" borderId="23" xfId="1" applyNumberFormat="1" applyFont="1" applyFill="1" applyBorder="1" applyAlignment="1">
      <alignment horizontal="right"/>
    </xf>
    <xf numFmtId="3" fontId="3" fillId="3" borderId="12" xfId="1" applyNumberFormat="1" applyFont="1" applyFill="1" applyBorder="1" applyAlignment="1">
      <alignment horizontal="right"/>
    </xf>
    <xf numFmtId="0" fontId="3" fillId="2" borderId="5" xfId="1" applyFont="1" applyFill="1" applyBorder="1" applyAlignment="1">
      <alignment horizontal="right"/>
    </xf>
    <xf numFmtId="0" fontId="3" fillId="0" borderId="5" xfId="1" applyFont="1" applyFill="1" applyBorder="1" applyAlignment="1">
      <alignment horizontal="right"/>
    </xf>
    <xf numFmtId="3" fontId="3" fillId="0" borderId="5" xfId="1" applyNumberFormat="1" applyFont="1" applyFill="1" applyBorder="1" applyAlignment="1">
      <alignment horizontal="right" wrapText="1"/>
    </xf>
    <xf numFmtId="0" fontId="3" fillId="2" borderId="18" xfId="1" applyFont="1" applyFill="1" applyBorder="1" applyAlignment="1">
      <alignment horizontal="right"/>
    </xf>
    <xf numFmtId="0" fontId="3" fillId="2" borderId="0" xfId="1" applyFont="1" applyFill="1" applyBorder="1" applyAlignment="1">
      <alignment horizontal="right"/>
    </xf>
    <xf numFmtId="0" fontId="3" fillId="2" borderId="0" xfId="1" applyFont="1" applyFill="1" applyAlignment="1">
      <alignment horizontal="right"/>
    </xf>
    <xf numFmtId="44" fontId="3" fillId="2" borderId="0" xfId="1" applyNumberFormat="1" applyFont="1" applyFill="1" applyAlignment="1">
      <alignment horizontal="right"/>
    </xf>
    <xf numFmtId="37" fontId="3" fillId="0" borderId="12" xfId="4" quotePrefix="1" applyNumberFormat="1" applyFont="1" applyFill="1" applyBorder="1" applyAlignment="1">
      <alignment horizontal="right"/>
    </xf>
    <xf numFmtId="167" fontId="3" fillId="0" borderId="5" xfId="1" applyNumberFormat="1" applyFont="1" applyFill="1" applyBorder="1" applyAlignment="1">
      <alignment horizontal="right"/>
    </xf>
    <xf numFmtId="3" fontId="3" fillId="3" borderId="5" xfId="1" applyNumberFormat="1" applyFont="1" applyFill="1" applyBorder="1" applyAlignment="1">
      <alignment horizontal="right"/>
    </xf>
    <xf numFmtId="0" fontId="3" fillId="2" borderId="18" xfId="1" applyFont="1" applyFill="1" applyBorder="1" applyAlignment="1">
      <alignment horizontal="right" wrapText="1"/>
    </xf>
    <xf numFmtId="0" fontId="3" fillId="2" borderId="26" xfId="1" applyFont="1" applyFill="1" applyBorder="1"/>
    <xf numFmtId="0" fontId="3" fillId="0" borderId="12" xfId="1" applyFont="1" applyFill="1" applyBorder="1"/>
    <xf numFmtId="0" fontId="3" fillId="0" borderId="11" xfId="1" applyFont="1" applyFill="1" applyBorder="1"/>
    <xf numFmtId="0" fontId="3" fillId="0" borderId="12" xfId="1" applyFont="1" applyFill="1" applyBorder="1" applyAlignment="1">
      <alignment horizontal="right"/>
    </xf>
    <xf numFmtId="0" fontId="3" fillId="0" borderId="13" xfId="1" applyFont="1" applyFill="1" applyBorder="1" applyAlignment="1">
      <alignment horizontal="left"/>
    </xf>
    <xf numFmtId="164" fontId="3" fillId="0" borderId="13" xfId="1" applyNumberFormat="1" applyFont="1" applyFill="1" applyBorder="1" applyAlignment="1">
      <alignment horizontal="left"/>
    </xf>
    <xf numFmtId="164" fontId="3" fillId="0" borderId="11" xfId="1" applyNumberFormat="1" applyFont="1" applyFill="1" applyBorder="1" applyAlignment="1">
      <alignment horizontal="center"/>
    </xf>
    <xf numFmtId="165" fontId="3" fillId="0" borderId="13" xfId="1" applyNumberFormat="1" applyFont="1" applyFill="1" applyBorder="1" applyAlignment="1">
      <alignment horizontal="left"/>
    </xf>
    <xf numFmtId="44" fontId="3" fillId="3" borderId="12" xfId="30" applyFont="1" applyFill="1" applyBorder="1" applyAlignment="1">
      <alignment horizontal="left" wrapText="1"/>
    </xf>
    <xf numFmtId="44" fontId="3" fillId="0" borderId="11" xfId="30" applyFont="1" applyFill="1" applyBorder="1" applyAlignment="1">
      <alignment horizontal="left" wrapText="1"/>
    </xf>
    <xf numFmtId="3" fontId="3" fillId="0" borderId="12" xfId="1" applyNumberFormat="1" applyFont="1" applyFill="1" applyBorder="1" applyAlignment="1">
      <alignment horizontal="right" wrapText="1"/>
    </xf>
    <xf numFmtId="169" fontId="3" fillId="3" borderId="13" xfId="30" applyNumberFormat="1" applyFont="1" applyFill="1" applyBorder="1" applyAlignment="1">
      <alignment horizontal="left"/>
    </xf>
    <xf numFmtId="169" fontId="3" fillId="2" borderId="13" xfId="30" applyNumberFormat="1" applyFont="1" applyFill="1" applyBorder="1" applyAlignment="1">
      <alignment horizontal="left"/>
    </xf>
    <xf numFmtId="4" fontId="3" fillId="0" borderId="11" xfId="1" applyNumberFormat="1" applyFont="1" applyFill="1" applyBorder="1" applyAlignment="1">
      <alignment horizontal="center"/>
    </xf>
    <xf numFmtId="0" fontId="3" fillId="0" borderId="26" xfId="1" applyFont="1" applyBorder="1"/>
    <xf numFmtId="44" fontId="3" fillId="0" borderId="12" xfId="30" applyFont="1" applyFill="1" applyBorder="1" applyAlignment="1">
      <alignment horizontal="left"/>
    </xf>
    <xf numFmtId="44" fontId="3" fillId="3" borderId="11" xfId="30" applyFont="1" applyFill="1" applyBorder="1" applyAlignment="1">
      <alignment horizontal="left" wrapText="1"/>
    </xf>
    <xf numFmtId="3" fontId="3" fillId="3" borderId="12" xfId="1" applyNumberFormat="1" applyFont="1" applyFill="1" applyBorder="1" applyAlignment="1">
      <alignment horizontal="right" wrapText="1"/>
    </xf>
    <xf numFmtId="0" fontId="3" fillId="2" borderId="13" xfId="1" applyFont="1" applyFill="1" applyBorder="1"/>
    <xf numFmtId="0" fontId="3" fillId="0" borderId="13" xfId="1" applyFont="1" applyBorder="1"/>
    <xf numFmtId="168" fontId="3" fillId="2" borderId="0" xfId="2" applyNumberFormat="1" applyFont="1" applyFill="1" applyBorder="1" applyAlignment="1">
      <alignment horizontal="right" wrapText="1"/>
    </xf>
    <xf numFmtId="0" fontId="3" fillId="2" borderId="0" xfId="1" applyFont="1" applyFill="1" applyBorder="1" applyAlignment="1">
      <alignment wrapText="1"/>
    </xf>
    <xf numFmtId="4" fontId="3" fillId="2" borderId="23" xfId="1" applyNumberFormat="1" applyFont="1" applyFill="1" applyBorder="1" applyAlignment="1">
      <alignment horizontal="center" vertical="center"/>
    </xf>
    <xf numFmtId="4" fontId="3" fillId="2" borderId="9" xfId="1" applyNumberFormat="1" applyFont="1" applyFill="1" applyBorder="1" applyAlignment="1">
      <alignment horizontal="center"/>
    </xf>
    <xf numFmtId="4" fontId="3" fillId="2" borderId="12" xfId="1" applyNumberFormat="1" applyFont="1" applyFill="1" applyBorder="1" applyAlignment="1">
      <alignment horizontal="center"/>
    </xf>
    <xf numFmtId="0" fontId="12" fillId="2" borderId="26" xfId="1" applyFont="1" applyFill="1" applyBorder="1"/>
    <xf numFmtId="0" fontId="12" fillId="0" borderId="17" xfId="1" applyFont="1" applyBorder="1" applyAlignment="1"/>
    <xf numFmtId="0" fontId="13" fillId="2" borderId="0" xfId="1" applyFont="1" applyFill="1"/>
    <xf numFmtId="164" fontId="3" fillId="2" borderId="19" xfId="1" applyNumberFormat="1" applyFont="1" applyFill="1" applyBorder="1" applyAlignment="1">
      <alignment horizontal="center" wrapText="1"/>
    </xf>
    <xf numFmtId="0" fontId="3" fillId="2" borderId="0" xfId="1" applyFont="1" applyFill="1" applyAlignment="1">
      <alignment horizontal="left" wrapText="1"/>
    </xf>
    <xf numFmtId="0" fontId="3" fillId="2" borderId="25" xfId="1" applyFont="1" applyFill="1" applyBorder="1" applyAlignment="1">
      <alignment horizontal="left" wrapText="1"/>
    </xf>
    <xf numFmtId="0" fontId="3" fillId="2" borderId="24" xfId="1" applyFont="1" applyFill="1" applyBorder="1" applyAlignment="1">
      <alignment horizontal="left" wrapText="1"/>
    </xf>
    <xf numFmtId="0" fontId="3" fillId="2" borderId="27" xfId="1" applyFont="1" applyFill="1" applyBorder="1" applyAlignment="1">
      <alignment horizontal="left" wrapText="1"/>
    </xf>
    <xf numFmtId="0" fontId="3" fillId="2" borderId="8" xfId="1" applyFont="1" applyFill="1" applyBorder="1" applyAlignment="1">
      <alignment horizontal="left" wrapText="1"/>
    </xf>
    <xf numFmtId="0" fontId="8" fillId="0" borderId="0" xfId="31" quotePrefix="1" applyNumberFormat="1" applyFont="1" applyBorder="1" applyAlignment="1">
      <alignment horizontal="left" wrapText="1"/>
    </xf>
    <xf numFmtId="0" fontId="3" fillId="2" borderId="10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/>
    </xf>
    <xf numFmtId="164" fontId="3" fillId="2" borderId="0" xfId="1" applyNumberFormat="1" applyFont="1" applyFill="1"/>
    <xf numFmtId="0" fontId="3" fillId="2" borderId="0" xfId="1" applyFont="1" applyFill="1" applyAlignment="1">
      <alignment horizontal="left" vertical="top" wrapText="1"/>
    </xf>
    <xf numFmtId="0" fontId="3" fillId="2" borderId="0" xfId="1" applyFont="1" applyFill="1" applyAlignment="1">
      <alignment horizontal="left" vertical="top"/>
    </xf>
  </cellXfs>
  <cellStyles count="33">
    <cellStyle name="Comma 2" xfId="4"/>
    <cellStyle name="Comma 3" xfId="5"/>
    <cellStyle name="Currency" xfId="30" builtinId="4"/>
    <cellStyle name="Currency 2" xfId="6"/>
    <cellStyle name="Currency 3" xfId="7"/>
    <cellStyle name="Currency 4" xfId="8"/>
    <cellStyle name="Currency 5" xfId="9"/>
    <cellStyle name="Currency 6" xfId="10"/>
    <cellStyle name="Currency 7" xfId="32"/>
    <cellStyle name="Normal" xfId="0" builtinId="0"/>
    <cellStyle name="Normal 10" xfId="11"/>
    <cellStyle name="Normal 10 2" xfId="12"/>
    <cellStyle name="Normal 11" xfId="31"/>
    <cellStyle name="Normal 2" xfId="13"/>
    <cellStyle name="Normal 2 2" xfId="1"/>
    <cellStyle name="Normal 2 3" xfId="14"/>
    <cellStyle name="Normal 3" xfId="15"/>
    <cellStyle name="Normal 4" xfId="16"/>
    <cellStyle name="Normal 5" xfId="17"/>
    <cellStyle name="Normal 6" xfId="18"/>
    <cellStyle name="Normal 7" xfId="19"/>
    <cellStyle name="Normal 8" xfId="20"/>
    <cellStyle name="Normal 8 2" xfId="21"/>
    <cellStyle name="Normal 9" xfId="22"/>
    <cellStyle name="Percent 2" xfId="3"/>
    <cellStyle name="Percent 3" xfId="23"/>
    <cellStyle name="Percent 4" xfId="24"/>
    <cellStyle name="Percent 5" xfId="25"/>
    <cellStyle name="Percent 6" xfId="26"/>
    <cellStyle name="Percent 6 2" xfId="27"/>
    <cellStyle name="Percent 6 3" xfId="28"/>
    <cellStyle name="Percent 6 3 2" xfId="29"/>
    <cellStyle name="Percent 6 3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ebmail.hhs.gov/Documents%20and%20Settings/t128/Local%20Settings/Temporary%20Internet%20Files/Content.Outlook/8PCTWLYN/sec%20153%20Proposed%20Rule/MMCEG/BUDGET/Recon2001/HI/tf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ebmail.hhs.gov/Documents%20and%20Settings/t128/Local%20Settings/Temporary%20Internet%20Files/Content.Outlook/8PCTWLYN/sec%20153%20Proposed%20Rule/Update%202002%20Proposals%20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ebmail.hhs.gov/Documents%20and%20Settings/t128/Local%20Settings/Temporary%20Internet%20Files/Content.Outlook/8PCTWLYN/sec%20153%20Proposed%20Rule/PHYSUPD/SGR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"/>
      <sheetName val="cy"/>
      <sheetName val="fy"/>
      <sheetName val="Module1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ons"/>
      <sheetName val="Summary"/>
      <sheetName val="GDP"/>
      <sheetName val="Fee"/>
      <sheetName val="Enroll"/>
      <sheetName val="Legislation"/>
      <sheetName val="Legislation (2)"/>
      <sheetName val="MPA"/>
      <sheetName val="MPA (2)"/>
      <sheetName val="MSR02 Base"/>
      <sheetName val="PP02 Base"/>
      <sheetName val="Impact"/>
      <sheetName val="Options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Fee"/>
      <sheetName val="Enroll"/>
      <sheetName val="Legislation"/>
      <sheetName val="Par_Rat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showGridLines="0" tabSelected="1" zoomScale="90" zoomScaleNormal="90" zoomScaleSheetLayoutView="100" workbookViewId="0">
      <selection activeCell="N32" sqref="N32"/>
    </sheetView>
  </sheetViews>
  <sheetFormatPr defaultRowHeight="12.75" x14ac:dyDescent="0.2"/>
  <cols>
    <col min="1" max="1" width="29.140625" style="1" customWidth="1"/>
    <col min="2" max="2" width="12" style="1" customWidth="1"/>
    <col min="3" max="3" width="10" style="1" customWidth="1"/>
    <col min="4" max="4" width="14.85546875" style="65" customWidth="1"/>
    <col min="5" max="5" width="15.85546875" style="1" customWidth="1"/>
    <col min="6" max="6" width="14.5703125" style="1" customWidth="1"/>
    <col min="7" max="7" width="22" style="1" customWidth="1"/>
    <col min="8" max="8" width="13.28515625" style="65" customWidth="1"/>
    <col min="9" max="9" width="16.140625" style="2" customWidth="1"/>
    <col min="10" max="10" width="11.5703125" style="1" customWidth="1"/>
    <col min="11" max="11" width="12.7109375" style="1" customWidth="1"/>
    <col min="12" max="12" width="1.28515625" style="1" customWidth="1"/>
    <col min="13" max="14" width="16.7109375" style="1" customWidth="1"/>
    <col min="15" max="16" width="15.7109375" style="1" customWidth="1"/>
    <col min="17" max="17" width="14.7109375" style="1" customWidth="1"/>
    <col min="18" max="16384" width="9.140625" style="1"/>
  </cols>
  <sheetData>
    <row r="1" spans="1:14" ht="19.5" thickBot="1" x14ac:dyDescent="0.35">
      <c r="A1" s="105" t="s">
        <v>30</v>
      </c>
      <c r="B1" s="105"/>
      <c r="C1" s="105"/>
      <c r="D1" s="105"/>
      <c r="E1" s="105"/>
      <c r="F1" s="105"/>
      <c r="G1" s="105"/>
      <c r="H1" s="105"/>
      <c r="I1" s="105"/>
      <c r="J1" s="43"/>
      <c r="K1" s="43"/>
      <c r="L1" s="43"/>
      <c r="M1" s="43"/>
    </row>
    <row r="2" spans="1:14" ht="39" customHeight="1" thickBot="1" x14ac:dyDescent="0.25">
      <c r="A2" s="106"/>
      <c r="B2" s="108" t="s">
        <v>17</v>
      </c>
      <c r="C2" s="109"/>
      <c r="D2" s="108" t="s">
        <v>16</v>
      </c>
      <c r="E2" s="110"/>
      <c r="F2" s="110"/>
      <c r="G2" s="109"/>
      <c r="H2" s="108" t="s">
        <v>15</v>
      </c>
      <c r="I2" s="110"/>
      <c r="J2" s="109"/>
      <c r="K2" s="30" t="s">
        <v>14</v>
      </c>
    </row>
    <row r="3" spans="1:14" ht="99.95" customHeight="1" thickBot="1" x14ac:dyDescent="0.25">
      <c r="A3" s="107"/>
      <c r="B3" s="18" t="s">
        <v>22</v>
      </c>
      <c r="C3" s="19" t="s">
        <v>13</v>
      </c>
      <c r="D3" s="57" t="s">
        <v>23</v>
      </c>
      <c r="E3" s="20" t="s">
        <v>25</v>
      </c>
      <c r="F3" s="20" t="s">
        <v>24</v>
      </c>
      <c r="G3" s="21" t="s">
        <v>26</v>
      </c>
      <c r="H3" s="57" t="s">
        <v>31</v>
      </c>
      <c r="I3" s="17" t="s">
        <v>27</v>
      </c>
      <c r="J3" s="19" t="s">
        <v>28</v>
      </c>
      <c r="K3" s="29" t="s">
        <v>29</v>
      </c>
    </row>
    <row r="4" spans="1:14" x14ac:dyDescent="0.2">
      <c r="A4" s="49" t="s">
        <v>12</v>
      </c>
      <c r="B4" s="50"/>
      <c r="C4" s="51"/>
      <c r="D4" s="58">
        <v>36738890</v>
      </c>
      <c r="E4" s="52"/>
      <c r="F4" s="53"/>
      <c r="G4" s="54"/>
      <c r="H4" s="58">
        <v>42865673.285732545</v>
      </c>
      <c r="I4" s="55"/>
      <c r="J4" s="54"/>
      <c r="K4" s="56"/>
    </row>
    <row r="5" spans="1:14" ht="26.25" thickBot="1" x14ac:dyDescent="0.25">
      <c r="A5" s="16" t="s">
        <v>11</v>
      </c>
      <c r="B5" s="11"/>
      <c r="C5" s="3"/>
      <c r="D5" s="59">
        <v>24745077</v>
      </c>
      <c r="E5" s="33"/>
      <c r="F5" s="34"/>
      <c r="G5" s="22"/>
      <c r="H5" s="67"/>
      <c r="I5" s="34"/>
      <c r="J5" s="28"/>
      <c r="K5" s="27"/>
    </row>
    <row r="6" spans="1:14" x14ac:dyDescent="0.2">
      <c r="A6" s="15"/>
      <c r="B6" s="14"/>
      <c r="C6" s="13"/>
      <c r="D6" s="60"/>
      <c r="E6" s="35"/>
      <c r="F6" s="36"/>
      <c r="G6" s="12"/>
      <c r="H6" s="61"/>
      <c r="I6" s="36"/>
      <c r="J6" s="26"/>
      <c r="K6" s="26"/>
    </row>
    <row r="7" spans="1:14" ht="15" x14ac:dyDescent="0.2">
      <c r="A7" s="8" t="s">
        <v>32</v>
      </c>
      <c r="B7" s="11"/>
      <c r="C7" s="10">
        <f>1.021*1.00152*1.023*1.000613*1.028*1.000454 * 0.999912</f>
        <v>1.0764135676520266</v>
      </c>
      <c r="D7" s="60"/>
      <c r="E7" s="35"/>
      <c r="F7" s="36"/>
      <c r="G7" s="7"/>
      <c r="H7" s="68"/>
      <c r="I7" s="36"/>
      <c r="J7" s="7"/>
      <c r="K7" s="7"/>
    </row>
    <row r="8" spans="1:14" x14ac:dyDescent="0.2">
      <c r="A8" s="8"/>
      <c r="B8" s="11"/>
      <c r="C8" s="25"/>
      <c r="D8" s="60"/>
      <c r="E8" s="35"/>
      <c r="F8" s="36"/>
      <c r="G8" s="7"/>
      <c r="H8" s="68"/>
      <c r="I8" s="36"/>
      <c r="J8" s="7"/>
      <c r="K8" s="7"/>
    </row>
    <row r="9" spans="1:14" s="9" customFormat="1" ht="15" x14ac:dyDescent="0.25">
      <c r="A9" s="96" t="s">
        <v>10</v>
      </c>
      <c r="B9" s="72"/>
      <c r="C9" s="73"/>
      <c r="D9" s="74"/>
      <c r="E9" s="75"/>
      <c r="F9" s="76"/>
      <c r="G9" s="77"/>
      <c r="H9" s="74"/>
      <c r="I9" s="78"/>
      <c r="J9" s="77"/>
      <c r="K9" s="77"/>
    </row>
    <row r="10" spans="1:14" ht="15" x14ac:dyDescent="0.2">
      <c r="A10" s="8" t="s">
        <v>33</v>
      </c>
      <c r="B10" s="38">
        <v>9.810238</v>
      </c>
      <c r="C10" s="39">
        <f>B10*$C$7</f>
        <v>10.559873285095481</v>
      </c>
      <c r="D10" s="62">
        <f>E10/B10</f>
        <v>204732673.27284378</v>
      </c>
      <c r="E10" s="40">
        <v>2008476251.1828363</v>
      </c>
      <c r="F10" s="41">
        <f>D10*C10</f>
        <v>2161951087.0800848</v>
      </c>
      <c r="G10" s="7">
        <f t="shared" ref="G10:G22" si="0">ROUND(F10/$D$4,2)</f>
        <v>58.85</v>
      </c>
      <c r="H10" s="69">
        <f>I10/C10</f>
        <v>131910355.59067443</v>
      </c>
      <c r="I10" s="41">
        <f>1392447060.03648*1.000454 * 0.999912</f>
        <v>1392956640.0294082</v>
      </c>
      <c r="J10" s="7">
        <f t="shared" ref="J10:J23" si="1">ROUND(I10/$H$4,2)</f>
        <v>32.5</v>
      </c>
      <c r="K10" s="24">
        <f>J10-G10</f>
        <v>-26.35</v>
      </c>
      <c r="L10" s="31"/>
      <c r="M10" s="31"/>
      <c r="N10" s="32"/>
    </row>
    <row r="11" spans="1:14" x14ac:dyDescent="0.2">
      <c r="A11" s="8" t="s">
        <v>9</v>
      </c>
      <c r="B11" s="38">
        <v>2.9923199999999999</v>
      </c>
      <c r="C11" s="39">
        <f t="shared" ref="C11:C20" si="2">B11*$C$7</f>
        <v>3.2209738467565119</v>
      </c>
      <c r="D11" s="62">
        <f t="shared" ref="D11:D20" si="3">E11/B11</f>
        <v>51044130.972268954</v>
      </c>
      <c r="E11" s="40">
        <v>152740373.99093983</v>
      </c>
      <c r="F11" s="41">
        <f t="shared" ref="F11:F20" si="4">D11*C11</f>
        <v>164411810.89209235</v>
      </c>
      <c r="G11" s="7">
        <f t="shared" si="0"/>
        <v>4.4800000000000004</v>
      </c>
      <c r="H11" s="69">
        <f t="shared" ref="H11:H21" si="5">I11/C11</f>
        <v>28024627.999999899</v>
      </c>
      <c r="I11" s="41">
        <f>90233571.9707503*1.000454 * 0.999912</f>
        <v>90266593.85307993</v>
      </c>
      <c r="J11" s="7">
        <f t="shared" si="1"/>
        <v>2.11</v>
      </c>
      <c r="K11" s="24">
        <f t="shared" ref="K11:K23" si="6">J11-G11</f>
        <v>-2.3700000000000006</v>
      </c>
      <c r="L11" s="31"/>
      <c r="M11" s="31"/>
    </row>
    <row r="12" spans="1:14" x14ac:dyDescent="0.2">
      <c r="A12" s="71" t="s">
        <v>8</v>
      </c>
      <c r="B12" s="79">
        <v>0.39585899999999996</v>
      </c>
      <c r="C12" s="80">
        <f t="shared" si="2"/>
        <v>0.42610799847716352</v>
      </c>
      <c r="D12" s="81">
        <f t="shared" si="3"/>
        <v>5817764.150872889</v>
      </c>
      <c r="E12" s="82">
        <v>2303014.2990003908</v>
      </c>
      <c r="F12" s="83">
        <f t="shared" si="4"/>
        <v>2478995.8379406417</v>
      </c>
      <c r="G12" s="77">
        <f t="shared" si="0"/>
        <v>7.0000000000000007E-2</v>
      </c>
      <c r="H12" s="59">
        <f t="shared" si="5"/>
        <v>2510976.9999999977</v>
      </c>
      <c r="I12" s="83">
        <f>1069555.96893846*1.000454 * 0.999912</f>
        <v>1069947.3836921917</v>
      </c>
      <c r="J12" s="77">
        <f t="shared" si="1"/>
        <v>0.02</v>
      </c>
      <c r="K12" s="84">
        <f t="shared" si="6"/>
        <v>-0.05</v>
      </c>
      <c r="L12" s="31"/>
      <c r="M12" s="31"/>
    </row>
    <row r="13" spans="1:14" x14ac:dyDescent="0.2">
      <c r="A13" s="8" t="s">
        <v>7</v>
      </c>
      <c r="B13" s="38">
        <v>3.1273899999999997</v>
      </c>
      <c r="C13" s="39">
        <f t="shared" si="2"/>
        <v>3.3663650273392709</v>
      </c>
      <c r="D13" s="62">
        <f t="shared" si="3"/>
        <v>28662304.191167466</v>
      </c>
      <c r="E13" s="40">
        <v>89638203.504415214</v>
      </c>
      <c r="F13" s="41">
        <f t="shared" si="4"/>
        <v>96487778.432105973</v>
      </c>
      <c r="G13" s="7">
        <f t="shared" si="0"/>
        <v>2.63</v>
      </c>
      <c r="H13" s="69">
        <f t="shared" si="5"/>
        <v>50161373.000027008</v>
      </c>
      <c r="I13" s="41">
        <f>168799717.837769*1.000454 * 0.999912</f>
        <v>168861491.7906113</v>
      </c>
      <c r="J13" s="7">
        <f t="shared" si="1"/>
        <v>3.94</v>
      </c>
      <c r="K13" s="24">
        <f t="shared" si="6"/>
        <v>1.31</v>
      </c>
      <c r="L13" s="31"/>
      <c r="M13" s="31"/>
    </row>
    <row r="14" spans="1:14" x14ac:dyDescent="0.2">
      <c r="A14" s="8" t="s">
        <v>6</v>
      </c>
      <c r="B14" s="38">
        <v>3.6749429999999998</v>
      </c>
      <c r="C14" s="39">
        <f t="shared" si="2"/>
        <v>3.9557585055478413</v>
      </c>
      <c r="D14" s="62">
        <f t="shared" si="3"/>
        <v>85076859.663983762</v>
      </c>
      <c r="E14" s="40">
        <v>312652609.88413948</v>
      </c>
      <c r="F14" s="41">
        <f t="shared" si="4"/>
        <v>336543511.24110383</v>
      </c>
      <c r="G14" s="7">
        <f t="shared" si="0"/>
        <v>9.16</v>
      </c>
      <c r="H14" s="69">
        <f t="shared" si="5"/>
        <v>60849176.999995209</v>
      </c>
      <c r="I14" s="41">
        <f>240616593.413242*1.000454 * 0.999912</f>
        <v>240704649.47331712</v>
      </c>
      <c r="J14" s="7">
        <f t="shared" si="1"/>
        <v>5.62</v>
      </c>
      <c r="K14" s="24">
        <f t="shared" si="6"/>
        <v>-3.54</v>
      </c>
      <c r="L14" s="31"/>
      <c r="M14" s="31"/>
    </row>
    <row r="15" spans="1:14" x14ac:dyDescent="0.2">
      <c r="A15" s="71" t="s">
        <v>5</v>
      </c>
      <c r="B15" s="79">
        <v>0.37923499999999999</v>
      </c>
      <c r="C15" s="80">
        <f t="shared" si="2"/>
        <v>0.40821369932851626</v>
      </c>
      <c r="D15" s="81">
        <f t="shared" si="3"/>
        <v>449542629.05219758</v>
      </c>
      <c r="E15" s="82">
        <v>170482298.92861015</v>
      </c>
      <c r="F15" s="83">
        <f t="shared" si="4"/>
        <v>183509459.6112645</v>
      </c>
      <c r="G15" s="77">
        <f t="shared" si="0"/>
        <v>4.99</v>
      </c>
      <c r="H15" s="59">
        <f t="shared" si="5"/>
        <v>538163162.00057101</v>
      </c>
      <c r="I15" s="83">
        <f>219605208.469952*1.000454 * 0.999912</f>
        <v>219685575.20258468</v>
      </c>
      <c r="J15" s="77">
        <f t="shared" si="1"/>
        <v>5.12</v>
      </c>
      <c r="K15" s="84">
        <f t="shared" si="6"/>
        <v>0.12999999999999989</v>
      </c>
      <c r="L15" s="31"/>
      <c r="M15" s="31"/>
    </row>
    <row r="16" spans="1:14" x14ac:dyDescent="0.2">
      <c r="A16" s="8" t="s">
        <v>4</v>
      </c>
      <c r="B16" s="38">
        <v>4.7471909999999999</v>
      </c>
      <c r="C16" s="39">
        <f t="shared" si="2"/>
        <v>5.1099408006355915</v>
      </c>
      <c r="D16" s="62">
        <f t="shared" si="3"/>
        <v>14310047.015582077</v>
      </c>
      <c r="E16" s="40">
        <v>67932526.401948094</v>
      </c>
      <c r="F16" s="41">
        <f t="shared" si="4"/>
        <v>73123493.103936434</v>
      </c>
      <c r="G16" s="7">
        <f t="shared" si="0"/>
        <v>1.99</v>
      </c>
      <c r="H16" s="69">
        <f t="shared" si="5"/>
        <v>7266751.9999999609</v>
      </c>
      <c r="I16" s="41">
        <f>37119088.4295167*1.000454 * 0.999912</f>
        <v>37132672.532900088</v>
      </c>
      <c r="J16" s="7">
        <f t="shared" si="1"/>
        <v>0.87</v>
      </c>
      <c r="K16" s="24">
        <f t="shared" si="6"/>
        <v>-1.1200000000000001</v>
      </c>
      <c r="L16" s="31"/>
      <c r="M16" s="31"/>
    </row>
    <row r="17" spans="1:13" x14ac:dyDescent="0.2">
      <c r="A17" s="8" t="s">
        <v>3</v>
      </c>
      <c r="B17" s="38">
        <v>6.2485460000000002</v>
      </c>
      <c r="C17" s="39">
        <f t="shared" si="2"/>
        <v>6.7260196924978004</v>
      </c>
      <c r="D17" s="62">
        <f t="shared" si="3"/>
        <v>623030.14035572321</v>
      </c>
      <c r="E17" s="40">
        <v>3893032.4913991932</v>
      </c>
      <c r="F17" s="41">
        <f t="shared" si="4"/>
        <v>4190512.9930522628</v>
      </c>
      <c r="G17" s="7">
        <f t="shared" si="0"/>
        <v>0.11</v>
      </c>
      <c r="H17" s="69">
        <f t="shared" si="5"/>
        <v>159521.99999999988</v>
      </c>
      <c r="I17" s="41">
        <f>1072555.60088745*1.000454 * 0.999912</f>
        <v>1072948.1133866333</v>
      </c>
      <c r="J17" s="7">
        <f t="shared" si="1"/>
        <v>0.03</v>
      </c>
      <c r="K17" s="24">
        <f t="shared" si="6"/>
        <v>-0.08</v>
      </c>
      <c r="L17" s="31"/>
      <c r="M17" s="31"/>
    </row>
    <row r="18" spans="1:13" x14ac:dyDescent="0.2">
      <c r="A18" s="71" t="s">
        <v>2</v>
      </c>
      <c r="B18" s="79">
        <v>38.807688999999996</v>
      </c>
      <c r="C18" s="80">
        <f t="shared" si="2"/>
        <v>41.773122968820303</v>
      </c>
      <c r="D18" s="81">
        <f t="shared" si="3"/>
        <v>803958.66422763735</v>
      </c>
      <c r="E18" s="82">
        <v>31199777.810201574</v>
      </c>
      <c r="F18" s="83">
        <f t="shared" si="4"/>
        <v>33583864.142629609</v>
      </c>
      <c r="G18" s="77">
        <f t="shared" si="0"/>
        <v>0.91</v>
      </c>
      <c r="H18" s="59">
        <f t="shared" si="5"/>
        <v>322590.99999999208</v>
      </c>
      <c r="I18" s="83">
        <f>13470703.7722353*1.000454 * 0.999912</f>
        <v>13475633.51163438</v>
      </c>
      <c r="J18" s="77">
        <f t="shared" si="1"/>
        <v>0.31</v>
      </c>
      <c r="K18" s="84">
        <f t="shared" si="6"/>
        <v>-0.60000000000000009</v>
      </c>
      <c r="L18" s="31"/>
      <c r="M18" s="31"/>
    </row>
    <row r="19" spans="1:13" x14ac:dyDescent="0.2">
      <c r="A19" s="8" t="s">
        <v>1</v>
      </c>
      <c r="B19" s="38">
        <v>3.3227219999999997</v>
      </c>
      <c r="C19" s="39">
        <f t="shared" si="2"/>
        <v>3.5766230423358767</v>
      </c>
      <c r="D19" s="62">
        <f t="shared" si="3"/>
        <v>1044872.4595228485</v>
      </c>
      <c r="E19" s="40">
        <v>3471820.7084506778</v>
      </c>
      <c r="F19" s="41">
        <f t="shared" si="4"/>
        <v>3737114.9150315807</v>
      </c>
      <c r="G19" s="7">
        <f t="shared" si="0"/>
        <v>0.1</v>
      </c>
      <c r="H19" s="69">
        <f t="shared" si="5"/>
        <v>915162.00000008452</v>
      </c>
      <c r="I19" s="41">
        <f>3271992.07829246*1.000454 * 0.999912</f>
        <v>3273189.4966704878</v>
      </c>
      <c r="J19" s="7">
        <f t="shared" si="1"/>
        <v>0.08</v>
      </c>
      <c r="K19" s="24">
        <f t="shared" si="6"/>
        <v>-2.0000000000000004E-2</v>
      </c>
      <c r="L19" s="31"/>
      <c r="M19" s="31"/>
    </row>
    <row r="20" spans="1:13" x14ac:dyDescent="0.2">
      <c r="A20" s="8" t="s">
        <v>0</v>
      </c>
      <c r="B20" s="38">
        <v>0.44573099999999993</v>
      </c>
      <c r="C20" s="39">
        <f t="shared" si="2"/>
        <v>0.47979089592310536</v>
      </c>
      <c r="D20" s="62">
        <f t="shared" si="3"/>
        <v>3604088.564627545</v>
      </c>
      <c r="E20" s="40">
        <v>1606454</v>
      </c>
      <c r="F20" s="41">
        <f t="shared" si="4"/>
        <v>1729208.8814088686</v>
      </c>
      <c r="G20" s="7">
        <f t="shared" si="0"/>
        <v>0.05</v>
      </c>
      <c r="H20" s="69">
        <f t="shared" si="5"/>
        <v>7275785.9999999953</v>
      </c>
      <c r="I20" s="41">
        <f>3489578.83704608*1.000454 * 0.999912</f>
        <v>3490855.883484785</v>
      </c>
      <c r="J20" s="7">
        <f t="shared" si="1"/>
        <v>0.08</v>
      </c>
      <c r="K20" s="24">
        <f t="shared" si="6"/>
        <v>0.03</v>
      </c>
      <c r="L20" s="31"/>
      <c r="M20" s="31"/>
    </row>
    <row r="21" spans="1:13" ht="15" x14ac:dyDescent="0.2">
      <c r="A21" s="85" t="s">
        <v>34</v>
      </c>
      <c r="B21" s="86"/>
      <c r="C21" s="87">
        <f>0.674625 * 1.000454 * 0.999912</f>
        <v>0.674871885797382</v>
      </c>
      <c r="D21" s="88">
        <v>0</v>
      </c>
      <c r="E21" s="82">
        <v>0</v>
      </c>
      <c r="F21" s="83">
        <f>E21*$C$7</f>
        <v>0</v>
      </c>
      <c r="G21" s="77">
        <f t="shared" si="0"/>
        <v>0</v>
      </c>
      <c r="H21" s="59">
        <f t="shared" si="5"/>
        <v>921605.9999999986</v>
      </c>
      <c r="I21" s="83">
        <f>621738.447749999*1.000454 * 0.999912</f>
        <v>621965.97918218106</v>
      </c>
      <c r="J21" s="77">
        <f t="shared" si="1"/>
        <v>0.01</v>
      </c>
      <c r="K21" s="84">
        <f t="shared" si="6"/>
        <v>0.01</v>
      </c>
      <c r="L21" s="31"/>
      <c r="M21" s="31"/>
    </row>
    <row r="22" spans="1:13" x14ac:dyDescent="0.2">
      <c r="A22" s="8" t="s">
        <v>21</v>
      </c>
      <c r="B22" s="11"/>
      <c r="C22" s="3"/>
      <c r="D22" s="60"/>
      <c r="E22" s="40">
        <v>5237051.1652538981</v>
      </c>
      <c r="F22" s="41">
        <f>E22*$C$7</f>
        <v>5637232.9287671512</v>
      </c>
      <c r="G22" s="7">
        <f t="shared" si="0"/>
        <v>0.15</v>
      </c>
      <c r="H22" s="61"/>
      <c r="I22" s="40">
        <f>2732234.32988604*1.000454 * 0.999912</f>
        <v>2733234.2184925526</v>
      </c>
      <c r="J22" s="7">
        <f t="shared" si="1"/>
        <v>0.06</v>
      </c>
      <c r="K22" s="24">
        <f t="shared" si="6"/>
        <v>-0.09</v>
      </c>
      <c r="L22" s="31"/>
      <c r="M22" s="32"/>
    </row>
    <row r="23" spans="1:13" ht="13.5" thickBot="1" x14ac:dyDescent="0.25">
      <c r="A23" s="8" t="s">
        <v>20</v>
      </c>
      <c r="B23" s="11"/>
      <c r="C23" s="3"/>
      <c r="D23" s="60"/>
      <c r="E23" s="37"/>
      <c r="F23" s="40">
        <f>11631502.6456362*1.000454 * 0.999912</f>
        <v>11635759.310902711</v>
      </c>
      <c r="G23" s="7">
        <f>ROUND(F23/$D$5,2)</f>
        <v>0.47</v>
      </c>
      <c r="H23" s="60"/>
      <c r="I23" s="40">
        <f>17920970.8404851*1.000454 * 0.999912</f>
        <v>17927529.19983409</v>
      </c>
      <c r="J23" s="7">
        <f t="shared" si="1"/>
        <v>0.42</v>
      </c>
      <c r="K23" s="24">
        <f t="shared" si="6"/>
        <v>-4.9999999999999989E-2</v>
      </c>
      <c r="L23" s="31"/>
      <c r="M23" s="32"/>
    </row>
    <row r="24" spans="1:13" ht="16.5" thickTop="1" thickBot="1" x14ac:dyDescent="0.3">
      <c r="A24" s="97" t="s">
        <v>19</v>
      </c>
      <c r="B24" s="44"/>
      <c r="C24" s="45"/>
      <c r="D24" s="63"/>
      <c r="E24" s="46"/>
      <c r="F24" s="46"/>
      <c r="G24" s="99">
        <f>SUM(G10:G23)</f>
        <v>83.95999999999998</v>
      </c>
      <c r="H24" s="70"/>
      <c r="I24" s="46"/>
      <c r="J24" s="99">
        <f>SUM(J10:J23)</f>
        <v>51.169999999999995</v>
      </c>
      <c r="K24" s="47">
        <f>SUM(K10:K23)</f>
        <v>-32.790000000000013</v>
      </c>
      <c r="M24" s="111"/>
    </row>
    <row r="25" spans="1:13" ht="14.25" thickTop="1" thickBot="1" x14ac:dyDescent="0.25">
      <c r="A25" s="6"/>
      <c r="B25" s="6"/>
      <c r="C25" s="6"/>
      <c r="D25" s="64"/>
      <c r="E25" s="6"/>
    </row>
    <row r="26" spans="1:13" ht="27" customHeight="1" x14ac:dyDescent="0.2">
      <c r="E26" s="42"/>
      <c r="H26" s="93">
        <f>ROUND(K24,2)</f>
        <v>-32.79</v>
      </c>
      <c r="I26" s="101" t="s">
        <v>36</v>
      </c>
      <c r="J26" s="101"/>
      <c r="K26" s="101"/>
      <c r="L26" s="102"/>
    </row>
    <row r="27" spans="1:13" ht="28.5" customHeight="1" x14ac:dyDescent="0.2">
      <c r="H27" s="94">
        <f>ROUND(H26*0.99*0.98*0.9407,2)</f>
        <v>-29.93</v>
      </c>
      <c r="I27" s="103" t="s">
        <v>18</v>
      </c>
      <c r="J27" s="103"/>
      <c r="K27" s="103"/>
      <c r="L27" s="104"/>
    </row>
    <row r="28" spans="1:13" ht="12.75" customHeight="1" x14ac:dyDescent="0.2">
      <c r="A28" s="98"/>
      <c r="D28" s="66"/>
      <c r="H28" s="95"/>
      <c r="I28" s="89" t="s">
        <v>37</v>
      </c>
      <c r="J28" s="89"/>
      <c r="K28" s="90"/>
      <c r="L28" s="22"/>
    </row>
    <row r="29" spans="1:13" x14ac:dyDescent="0.2">
      <c r="H29" s="91"/>
      <c r="I29" s="92"/>
      <c r="J29" s="5"/>
      <c r="K29" s="23"/>
      <c r="L29" s="4"/>
    </row>
    <row r="30" spans="1:13" ht="27" customHeight="1" x14ac:dyDescent="0.2"/>
    <row r="31" spans="1:13" ht="15.75" x14ac:dyDescent="0.25">
      <c r="B31" s="100"/>
      <c r="C31" s="100"/>
      <c r="D31" s="100"/>
      <c r="E31" s="100"/>
      <c r="F31" s="100"/>
      <c r="G31" s="100"/>
      <c r="H31" s="100"/>
      <c r="I31" s="48"/>
    </row>
    <row r="33" spans="1:7" ht="15" x14ac:dyDescent="0.2">
      <c r="A33" s="113" t="s">
        <v>38</v>
      </c>
      <c r="B33" s="113"/>
      <c r="C33" s="113"/>
      <c r="D33" s="113"/>
      <c r="E33" s="113"/>
      <c r="F33" s="113"/>
      <c r="G33" s="113"/>
    </row>
    <row r="34" spans="1:7" ht="43.5" customHeight="1" x14ac:dyDescent="0.2">
      <c r="A34" s="112" t="s">
        <v>39</v>
      </c>
      <c r="B34" s="112"/>
      <c r="C34" s="112"/>
      <c r="D34" s="112"/>
      <c r="E34" s="112"/>
      <c r="F34" s="112"/>
      <c r="G34" s="112"/>
    </row>
    <row r="35" spans="1:7" x14ac:dyDescent="0.2">
      <c r="A35" s="113" t="s">
        <v>40</v>
      </c>
      <c r="B35" s="113"/>
      <c r="C35" s="113"/>
      <c r="D35" s="113"/>
      <c r="E35" s="113"/>
      <c r="F35" s="113"/>
      <c r="G35" s="113"/>
    </row>
    <row r="36" spans="1:7" ht="20.25" customHeight="1" x14ac:dyDescent="0.2">
      <c r="A36" s="113" t="s">
        <v>35</v>
      </c>
      <c r="B36" s="113"/>
      <c r="C36" s="113"/>
      <c r="D36" s="113"/>
      <c r="E36" s="113"/>
      <c r="F36" s="113"/>
      <c r="G36" s="113"/>
    </row>
    <row r="37" spans="1:7" ht="21" customHeight="1" x14ac:dyDescent="0.2">
      <c r="A37" s="113" t="s">
        <v>41</v>
      </c>
      <c r="B37" s="113"/>
      <c r="C37" s="113"/>
      <c r="D37" s="113"/>
      <c r="E37" s="113"/>
      <c r="F37" s="113"/>
      <c r="G37" s="113"/>
    </row>
  </sheetData>
  <mergeCells count="12">
    <mergeCell ref="A34:G34"/>
    <mergeCell ref="A33:G33"/>
    <mergeCell ref="A35:G35"/>
    <mergeCell ref="A36:G36"/>
    <mergeCell ref="A37:G37"/>
    <mergeCell ref="I26:L26"/>
    <mergeCell ref="I27:L27"/>
    <mergeCell ref="A1:I1"/>
    <mergeCell ref="A2:A3"/>
    <mergeCell ref="B2:C2"/>
    <mergeCell ref="D2:G2"/>
    <mergeCell ref="H2:J2"/>
  </mergeCells>
  <pageMargins left="0.25" right="0.25" top="0.5" bottom="0.5" header="0.3" footer="0.3"/>
  <pageSetup scale="79" orientation="landscape" horizontalDpi="1200" verticalDpi="1200" r:id="rId1"/>
  <headerFooter>
    <oddHeader>&amp;R&amp;D</oddHeader>
    <oddFooter>&amp;L&amp;Z&amp;F&amp;R&amp;A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full07-full12</vt:lpstr>
      <vt:lpstr>'full07-full12'!Print_Area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Yaminee Thaker</dc:creator>
  <cp:lastModifiedBy>MICHELLE CRUSE</cp:lastModifiedBy>
  <cp:lastPrinted>2013-10-01T16:14:35Z</cp:lastPrinted>
  <dcterms:created xsi:type="dcterms:W3CDTF">2013-06-26T17:08:54Z</dcterms:created>
  <dcterms:modified xsi:type="dcterms:W3CDTF">2013-11-12T19:07:49Z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-168320524</vt:i4>
  </property>
  <property fmtid="{D5CDD505-2E9C-101B-9397-08002B2CF9AE}" pid="3" name="_NewReviewCycle">
    <vt:lpwstr/>
  </property>
  <property fmtid="{D5CDD505-2E9C-101B-9397-08002B2CF9AE}" pid="4" name="_EmailSubject">
    <vt:lpwstr>Regulation Posting - CMS-1526-F CY 2014 ESRD PPS</vt:lpwstr>
  </property>
  <property fmtid="{D5CDD505-2E9C-101B-9397-08002B2CF9AE}" pid="5" name="_AuthorEmail">
    <vt:lpwstr>Michelle.Cruse@cms.hhs.gov</vt:lpwstr>
  </property>
  <property fmtid="{D5CDD505-2E9C-101B-9397-08002B2CF9AE}" pid="6" name="_AuthorEmailDisplayName">
    <vt:lpwstr>Cruse, Michelle L. (CMS/CMM)</vt:lpwstr>
  </property>
</Properties>
</file>